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.Douglas\Desktop\"/>
    </mc:Choice>
  </mc:AlternateContent>
  <xr:revisionPtr revIDLastSave="0" documentId="8_{4F7392E6-4AFB-478B-A2FD-3E5B2CF18C1B}" xr6:coauthVersionLast="44" xr6:coauthVersionMax="44" xr10:uidLastSave="{00000000-0000-0000-0000-000000000000}"/>
  <workbookProtection workbookAlgorithmName="SHA-512" workbookHashValue="A4Wn9/BMBmqNzUtVdxmfOrqQW/whuikDdfsGN9+kwJ2zKO5nJaE2rli6VOfo9pBUUwr7BZvHFvYmmkWUcsq9gg==" workbookSaltValue="G9C1z2yuCPxhZwl9FqVX3w==" workbookSpinCount="100000" lockStructure="1"/>
  <bookViews>
    <workbookView xWindow="20370" yWindow="-120" windowWidth="29040" windowHeight="15840" xr2:uid="{19E8BE5B-D184-4BC7-A158-C0F97AB9342D}"/>
  </bookViews>
  <sheets>
    <sheet name="Cost Comparison" sheetId="24" r:id="rId1"/>
  </sheets>
  <externalReferences>
    <externalReference r:id="rId2"/>
  </externalReferences>
  <definedNames>
    <definedName name="ISLookup">INDEX('[1]Linked Picture'!$X$56:$X$59, MATCH('[1]Linked Picture'!$D$13,'[1]Linked Picture'!$Y$56:$Y$59,0))</definedName>
    <definedName name="ISX">XLOOKUP('[1]Linked Picture'!$D$2,'[1]Linked Picture'!$X$56:$X$59, '[1]Linked Picture'!$Y$56:$Y$59)</definedName>
    <definedName name="_xlnm.Print_Area" localSheetId="0">'Cost Comparison'!$A$1:$Q$57</definedName>
    <definedName name="Z_32B738FC_9180_49D8_95FE_1EC1441AAEDA_.wvu.Cols" localSheetId="0" hidden="1">'Cost Comparison'!$R:$V</definedName>
  </definedNames>
  <calcPr calcId="191029"/>
  <customWorkbookViews>
    <customWorkbookView name="ISystems" guid="{32B738FC-9180-49D8-95FE-1EC1441AAEDA}" includePrintSettings="0" maximized="1" xWindow="-8" yWindow="-8" windowWidth="1936" windowHeight="1056" activeSheetId="2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3" i="24" l="1"/>
  <c r="J14" i="24" l="1"/>
  <c r="R55" i="24" s="1"/>
  <c r="J15" i="24" s="1"/>
  <c r="R57" i="24"/>
  <c r="I38" i="24"/>
  <c r="I32" i="24"/>
  <c r="J16" i="24" l="1"/>
  <c r="C10" i="24" s="1"/>
  <c r="R3" i="24"/>
  <c r="V3" i="24" s="1"/>
  <c r="R4" i="24"/>
  <c r="R5" i="24"/>
  <c r="I31" i="24"/>
  <c r="I37" i="24" s="1"/>
  <c r="T39" i="24"/>
  <c r="I33" i="24"/>
  <c r="K39" i="24"/>
  <c r="K30" i="24"/>
  <c r="K31" i="24" s="1"/>
  <c r="K44" i="24" s="1"/>
  <c r="I29" i="24"/>
  <c r="I30" i="24"/>
  <c r="I36" i="24" s="1"/>
  <c r="R6" i="24" l="1"/>
  <c r="S6" i="24" s="1"/>
  <c r="K41" i="24"/>
  <c r="K42" i="24"/>
  <c r="K40" i="24"/>
  <c r="K43" i="24"/>
  <c r="M47" i="24" l="1"/>
  <c r="I35" i="24" l="1"/>
  <c r="T33" i="24"/>
  <c r="T31" i="24"/>
  <c r="T32" i="24"/>
  <c r="R19" i="24"/>
  <c r="S13" i="24"/>
  <c r="S12" i="24"/>
  <c r="S14" i="24" l="1"/>
  <c r="E14" i="24"/>
  <c r="E33" i="24"/>
  <c r="I34" i="24"/>
  <c r="AA62" i="24" l="1"/>
  <c r="S16" i="24"/>
  <c r="AA60" i="24"/>
  <c r="AA59" i="24"/>
  <c r="AA61" i="24"/>
  <c r="T29" i="24"/>
  <c r="E31" i="24" s="1"/>
  <c r="T28" i="24"/>
  <c r="E30" i="24" s="1"/>
  <c r="T27" i="24"/>
  <c r="E29" i="24" s="1"/>
  <c r="T30" i="24"/>
  <c r="E32" i="24" s="1"/>
  <c r="H47" i="24" l="1"/>
  <c r="D47" i="24"/>
  <c r="B53" i="24" s="1"/>
  <c r="B52" i="24" l="1"/>
</calcChain>
</file>

<file path=xl/sharedStrings.xml><?xml version="1.0" encoding="utf-8"?>
<sst xmlns="http://schemas.openxmlformats.org/spreadsheetml/2006/main" count="144" uniqueCount="103">
  <si>
    <t>IS1</t>
  </si>
  <si>
    <t>IS2</t>
  </si>
  <si>
    <t>IS3</t>
  </si>
  <si>
    <t>one-off/Machine</t>
  </si>
  <si>
    <t>one-off</t>
  </si>
  <si>
    <t>per m/Week</t>
  </si>
  <si>
    <t>per Shift/Machine</t>
  </si>
  <si>
    <t>per Hour (days)</t>
  </si>
  <si>
    <t>Yes</t>
  </si>
  <si>
    <t>No</t>
  </si>
  <si>
    <t>Where do you plan the works to take place?</t>
  </si>
  <si>
    <t>Length of ALO working limits along track/highway</t>
  </si>
  <si>
    <t>m</t>
  </si>
  <si>
    <t>number of set ups</t>
  </si>
  <si>
    <t>Quanity of 360 Excavators Required?</t>
  </si>
  <si>
    <t>Quanity of Dumpers/Dozers/Chippers etc Required?</t>
  </si>
  <si>
    <t>I-Systems Costs Breakdown</t>
  </si>
  <si>
    <t>Precast Barrier Breakdown</t>
  </si>
  <si>
    <t>Possession Uplift Breakdown</t>
  </si>
  <si>
    <t>Site Set Up</t>
  </si>
  <si>
    <t>Plant Set Up</t>
  </si>
  <si>
    <t>Site Boundary Hire</t>
  </si>
  <si>
    <t>I-Systems Hire</t>
  </si>
  <si>
    <t>ALO Rep</t>
  </si>
  <si>
    <t>Set Up Rate</t>
  </si>
  <si>
    <t>Plant Set Up Rate</t>
  </si>
  <si>
    <t>Site Boundary Hire Rate</t>
  </si>
  <si>
    <t>I-Systems Hire Rate</t>
  </si>
  <si>
    <t>Project Duration</t>
  </si>
  <si>
    <t>no</t>
  </si>
  <si>
    <t>hours</t>
  </si>
  <si>
    <t>weeks</t>
  </si>
  <si>
    <t>IS2 Dumper Rate</t>
  </si>
  <si>
    <t>IS2 Dumper Set Up</t>
  </si>
  <si>
    <t>How many shifts per week?</t>
  </si>
  <si>
    <t>Hours per day?</t>
  </si>
  <si>
    <t>ALO Coordinator Rate</t>
  </si>
  <si>
    <t>Total Cost</t>
  </si>
  <si>
    <t>Productive hours per possession available</t>
  </si>
  <si>
    <t>Precast Barrier Hire</t>
  </si>
  <si>
    <t>I-Systems Rates</t>
  </si>
  <si>
    <t>Precast Rates</t>
  </si>
  <si>
    <t>ALO Coordinator</t>
  </si>
  <si>
    <t>one off cost</t>
  </si>
  <si>
    <t>one off per machine</t>
  </si>
  <si>
    <t>per meter per week</t>
  </si>
  <si>
    <t>per machine per shift</t>
  </si>
  <si>
    <t>per hour (min 40h)</t>
  </si>
  <si>
    <t>Site Demob</t>
  </si>
  <si>
    <t>COSS/Banksman/Labour Set Up</t>
  </si>
  <si>
    <t>per shift</t>
  </si>
  <si>
    <t>per load 18m per load</t>
  </si>
  <si>
    <t>COSS/Banksman/Labour Demob</t>
  </si>
  <si>
    <t>% Unproductive Hours</t>
  </si>
  <si>
    <t>Dayshift 360 Excavator Operated Rate</t>
  </si>
  <si>
    <t>Dayshift Dumper/Dozer/Chipper Operated Rate</t>
  </si>
  <si>
    <t>Nightshift 360 Excavator Operated Rate</t>
  </si>
  <si>
    <t>Nightshift Dumper/Dozer/Chipper Operated Rate</t>
  </si>
  <si>
    <t>Additional shifts required to do the same work</t>
  </si>
  <si>
    <t>Extra costs for original programme working nightshift</t>
  </si>
  <si>
    <t>Extra costs for additional shifts required working nightshift</t>
  </si>
  <si>
    <t xml:space="preserve">Engineering Supervisor </t>
  </si>
  <si>
    <t>Extra costs for Banksman working nightshift</t>
  </si>
  <si>
    <t>Total Additional Cost</t>
  </si>
  <si>
    <t>Extra costs for Coss working nightshift</t>
  </si>
  <si>
    <t>Extra costs for Supervisor working nightshift</t>
  </si>
  <si>
    <t>Saving compared to Precast Barriers</t>
  </si>
  <si>
    <t>Saving compared to Possession Working</t>
  </si>
  <si>
    <t>Supervisor Set Up</t>
  </si>
  <si>
    <t>Supervisor Demob</t>
  </si>
  <si>
    <t>Plant to be used</t>
  </si>
  <si>
    <t>Project Duration and Working Times</t>
  </si>
  <si>
    <t>Work Position and Length</t>
  </si>
  <si>
    <t>Cost Comparison</t>
  </si>
  <si>
    <t>IS1 or IS2</t>
  </si>
  <si>
    <t>Plant for Set Up</t>
  </si>
  <si>
    <t>Plant for Demob</t>
  </si>
  <si>
    <t xml:space="preserve">Foul Point = </t>
  </si>
  <si>
    <t>Tightest Track Curvature at Site</t>
  </si>
  <si>
    <t>Highest Track Cant at Site</t>
  </si>
  <si>
    <t>Straight</t>
  </si>
  <si>
    <t>Curve 201 - 400m Radius</t>
  </si>
  <si>
    <t>Curve more than 400m Radius</t>
  </si>
  <si>
    <t xml:space="preserve">Curve 75 - 200m Radius </t>
  </si>
  <si>
    <t>Unsure or S&amp;C at Site</t>
  </si>
  <si>
    <t xml:space="preserve">Foul Point </t>
  </si>
  <si>
    <t>Cant Allowance</t>
  </si>
  <si>
    <t>Estimated maximum workign height</t>
  </si>
  <si>
    <t>High Performance Inner Boundary</t>
  </si>
  <si>
    <t>m (default to 200m)</t>
  </si>
  <si>
    <t>N/A</t>
  </si>
  <si>
    <t>Please Select New Planned Working Position</t>
  </si>
  <si>
    <t>High Performance Outer Boundary</t>
  </si>
  <si>
    <t xml:space="preserve">Low Performance Working Limit = </t>
  </si>
  <si>
    <t xml:space="preserve">Exclusion Distance = </t>
  </si>
  <si>
    <t>Machine full raduis within HP boundary?</t>
  </si>
  <si>
    <t>More than 3.47m from running edge/lane</t>
  </si>
  <si>
    <t>Note: Cost comparison calculation excludes additional prelim, welfare and staff costs for precast barrier and possession working which could be 10-25% additional</t>
  </si>
  <si>
    <t xml:space="preserve">I-System Required = </t>
  </si>
  <si>
    <t>www.stobartrail.com</t>
  </si>
  <si>
    <t>mm (default = zero cant)</t>
  </si>
  <si>
    <t>m (default = 4m)</t>
  </si>
  <si>
    <t>Possession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</si>
</sst>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58585A"/>
      <name val="Courier New"/>
      <family val="3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Courier New"/>
      <family val="3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44" fontId="0" fillId="2" borderId="1" xfId="0" applyNumberFormat="1" applyFill="1" applyBorder="1"/>
    <xf numFmtId="44" fontId="0" fillId="3" borderId="1" xfId="0" applyNumberFormat="1" applyFill="1" applyBorder="1"/>
    <xf numFmtId="0" fontId="0" fillId="2" borderId="0" xfId="0" applyFill="1"/>
    <xf numFmtId="0" fontId="0" fillId="3" borderId="0" xfId="0" applyFill="1"/>
    <xf numFmtId="44" fontId="0" fillId="2" borderId="0" xfId="0" applyNumberFormat="1" applyFill="1"/>
    <xf numFmtId="44" fontId="0" fillId="3" borderId="0" xfId="0" applyNumberFormat="1" applyFill="1"/>
    <xf numFmtId="0" fontId="0" fillId="0" borderId="0" xfId="0" applyProtection="1"/>
    <xf numFmtId="0" fontId="0" fillId="5" borderId="0" xfId="0" applyFill="1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164" fontId="1" fillId="0" borderId="0" xfId="0" applyNumberFormat="1" applyFont="1" applyProtection="1"/>
    <xf numFmtId="0" fontId="6" fillId="0" borderId="0" xfId="0" applyFont="1" applyProtection="1"/>
    <xf numFmtId="44" fontId="0" fillId="5" borderId="0" xfId="0" applyNumberFormat="1" applyFill="1" applyProtection="1"/>
    <xf numFmtId="0" fontId="0" fillId="0" borderId="6" xfId="0" applyBorder="1" applyProtection="1"/>
    <xf numFmtId="0" fontId="4" fillId="0" borderId="7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0" xfId="0" applyBorder="1" applyProtection="1"/>
    <xf numFmtId="44" fontId="0" fillId="0" borderId="10" xfId="1" applyFont="1" applyBorder="1" applyProtection="1"/>
    <xf numFmtId="44" fontId="0" fillId="0" borderId="10" xfId="0" applyNumberFormat="1" applyBorder="1" applyProtection="1"/>
    <xf numFmtId="0" fontId="0" fillId="0" borderId="10" xfId="0" applyBorder="1" applyProtection="1"/>
    <xf numFmtId="44" fontId="0" fillId="0" borderId="0" xfId="0" applyNumberFormat="1" applyBorder="1" applyProtection="1"/>
    <xf numFmtId="0" fontId="5" fillId="5" borderId="0" xfId="0" applyFont="1" applyFill="1" applyProtection="1"/>
    <xf numFmtId="44" fontId="5" fillId="5" borderId="0" xfId="0" applyNumberFormat="1" applyFont="1" applyFill="1" applyProtection="1"/>
    <xf numFmtId="9" fontId="1" fillId="0" borderId="9" xfId="2" applyFont="1" applyBorder="1" applyAlignment="1" applyProtection="1">
      <alignment horizontal="right"/>
    </xf>
    <xf numFmtId="0" fontId="0" fillId="0" borderId="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2" xfId="0" applyFont="1" applyBorder="1" applyProtection="1"/>
    <xf numFmtId="0" fontId="0" fillId="0" borderId="13" xfId="0" applyFont="1" applyBorder="1" applyProtection="1"/>
    <xf numFmtId="0" fontId="0" fillId="0" borderId="11" xfId="0" applyFont="1" applyBorder="1" applyProtection="1"/>
    <xf numFmtId="0" fontId="0" fillId="0" borderId="13" xfId="0" applyBorder="1" applyProtection="1"/>
    <xf numFmtId="0" fontId="0" fillId="4" borderId="5" xfId="0" applyFill="1" applyBorder="1" applyProtection="1">
      <protection locked="0"/>
    </xf>
    <xf numFmtId="0" fontId="9" fillId="0" borderId="7" xfId="0" applyFont="1" applyBorder="1" applyProtection="1"/>
    <xf numFmtId="0" fontId="8" fillId="0" borderId="0" xfId="0" applyFont="1" applyBorder="1" applyProtection="1"/>
    <xf numFmtId="0" fontId="4" fillId="0" borderId="0" xfId="0" applyFont="1" applyBorder="1" applyProtection="1"/>
    <xf numFmtId="0" fontId="8" fillId="0" borderId="12" xfId="0" applyFont="1" applyBorder="1" applyProtection="1"/>
    <xf numFmtId="0" fontId="8" fillId="0" borderId="7" xfId="0" applyFont="1" applyBorder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0" xfId="3" applyProtection="1"/>
    <xf numFmtId="0" fontId="0" fillId="0" borderId="14" xfId="0" applyBorder="1" applyAlignment="1" applyProtection="1">
      <alignment horizontal="right"/>
    </xf>
    <xf numFmtId="0" fontId="0" fillId="0" borderId="14" xfId="0" applyBorder="1" applyProtection="1"/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 wrapText="1"/>
    </xf>
    <xf numFmtId="44" fontId="0" fillId="0" borderId="0" xfId="0" applyNumberFormat="1" applyBorder="1" applyAlignment="1" applyProtection="1">
      <alignment horizontal="center" wrapText="1"/>
    </xf>
    <xf numFmtId="44" fontId="0" fillId="0" borderId="10" xfId="0" applyNumberFormat="1" applyBorder="1" applyAlignment="1" applyProtection="1">
      <alignment horizontal="center" wrapText="1"/>
    </xf>
    <xf numFmtId="44" fontId="0" fillId="0" borderId="14" xfId="0" applyNumberFormat="1" applyBorder="1" applyAlignment="1" applyProtection="1">
      <alignment horizontal="center" wrapText="1"/>
    </xf>
    <xf numFmtId="44" fontId="0" fillId="0" borderId="15" xfId="0" applyNumberForma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wrapText="1"/>
    </xf>
    <xf numFmtId="0" fontId="3" fillId="0" borderId="10" xfId="0" applyFont="1" applyBorder="1" applyAlignment="1" applyProtection="1">
      <alignment horizontal="left" wrapText="1"/>
    </xf>
    <xf numFmtId="44" fontId="0" fillId="0" borderId="0" xfId="0" applyNumberFormat="1" applyBorder="1" applyAlignment="1" applyProtection="1">
      <alignment horizontal="center"/>
    </xf>
    <xf numFmtId="44" fontId="0" fillId="0" borderId="14" xfId="0" applyNumberFormat="1" applyBorder="1" applyAlignment="1" applyProtection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7"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'Cost Comparison'!$Z$59</c:f>
              <c:strCache>
                <c:ptCount val="1"/>
                <c:pt idx="0">
                  <c:v>IS1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'Cost Comparison'!$AA$59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1-4201-814C-EDAEBEEEFC69}"/>
            </c:ext>
          </c:extLst>
        </c:ser>
        <c:ser>
          <c:idx val="1"/>
          <c:order val="1"/>
          <c:tx>
            <c:strRef>
              <c:f>'Cost Comparison'!$Z$60</c:f>
              <c:strCache>
                <c:ptCount val="1"/>
                <c:pt idx="0">
                  <c:v>IS2</c:v>
                </c:pt>
              </c:strCache>
            </c:strRef>
          </c:tx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noFill/>
            </a:ln>
            <a:effectLst/>
          </c:spPr>
          <c:invertIfNegative val="0"/>
          <c:val>
            <c:numRef>
              <c:f>'Cost Comparison'!$AA$60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F1-4201-814C-EDAEBEEEFC69}"/>
            </c:ext>
          </c:extLst>
        </c:ser>
        <c:ser>
          <c:idx val="2"/>
          <c:order val="2"/>
          <c:tx>
            <c:strRef>
              <c:f>'Cost Comparison'!$Z$61</c:f>
              <c:strCache>
                <c:ptCount val="1"/>
                <c:pt idx="0">
                  <c:v>IS3</c:v>
                </c:pt>
              </c:strCache>
            </c:strRef>
          </c:tx>
          <c:spPr>
            <a:blipFill>
              <a:blip xmlns:r="http://schemas.openxmlformats.org/officeDocument/2006/relationships" r:embed="rId5"/>
              <a:stretch>
                <a:fillRect/>
              </a:stretch>
            </a:blipFill>
            <a:ln>
              <a:noFill/>
            </a:ln>
            <a:effectLst/>
          </c:spPr>
          <c:invertIfNegative val="0"/>
          <c:val>
            <c:numRef>
              <c:f>'Cost Comparison'!$AA$61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F1-4201-814C-EDAEBEEEFC69}"/>
            </c:ext>
          </c:extLst>
        </c:ser>
        <c:ser>
          <c:idx val="3"/>
          <c:order val="3"/>
          <c:tx>
            <c:strRef>
              <c:f>'Cost Comparison'!$Z$62</c:f>
              <c:strCache>
                <c:ptCount val="1"/>
                <c:pt idx="0">
                  <c:v>Please Select New Planned Working Position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val>
            <c:numRef>
              <c:f>'Cost Comparison'!$AA$62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F1-4201-814C-EDAEBEEEF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6675816"/>
        <c:axId val="456676144"/>
      </c:barChart>
      <c:catAx>
        <c:axId val="456675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6676144"/>
        <c:crosses val="autoZero"/>
        <c:auto val="1"/>
        <c:lblAlgn val="ctr"/>
        <c:lblOffset val="100"/>
        <c:noMultiLvlLbl val="0"/>
      </c:catAx>
      <c:valAx>
        <c:axId val="456676144"/>
        <c:scaling>
          <c:orientation val="minMax"/>
          <c:max val="1"/>
        </c:scaling>
        <c:delete val="1"/>
        <c:axPos val="l"/>
        <c:numFmt formatCode="General" sourceLinked="1"/>
        <c:majorTickMark val="none"/>
        <c:minorTickMark val="none"/>
        <c:tickLblPos val="nextTo"/>
        <c:crossAx val="456675816"/>
        <c:crosses val="autoZero"/>
        <c:crossBetween val="between"/>
      </c:valAx>
      <c:spPr>
        <a:blipFill>
          <a:blip xmlns:r="http://schemas.openxmlformats.org/officeDocument/2006/relationships" r:embed="rId6"/>
          <a:stretch>
            <a:fillRect/>
          </a:stretch>
        </a:blip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1.xml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730249</xdr:colOff>
      <xdr:row>8</xdr:row>
      <xdr:rowOff>47625</xdr:rowOff>
    </xdr:from>
    <xdr:to>
      <xdr:col>14</xdr:col>
      <xdr:colOff>333374</xdr:colOff>
      <xdr:row>26</xdr:row>
      <xdr:rowOff>142874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80E92A2-8FA5-42EE-ACA9-9404379208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190501</xdr:colOff>
      <xdr:row>1</xdr:row>
      <xdr:rowOff>200025</xdr:rowOff>
    </xdr:from>
    <xdr:to>
      <xdr:col>3</xdr:col>
      <xdr:colOff>352425</xdr:colOff>
      <xdr:row>1</xdr:row>
      <xdr:rowOff>1010907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45B193-78AE-42DC-B934-0F1602442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1" y="266700"/>
          <a:ext cx="1381124" cy="810882"/>
        </a:xfrm>
        <a:prstGeom prst="rect">
          <a:avLst/>
        </a:prstGeom>
      </xdr:spPr>
    </xdr:pic>
    <xdr:clientData/>
  </xdr:twoCellAnchor>
  <xdr:twoCellAnchor editAs="oneCell">
    <xdr:from>
      <xdr:col>10</xdr:col>
      <xdr:colOff>518534</xdr:colOff>
      <xdr:row>1</xdr:row>
      <xdr:rowOff>142876</xdr:rowOff>
    </xdr:from>
    <xdr:to>
      <xdr:col>15</xdr:col>
      <xdr:colOff>374650</xdr:colOff>
      <xdr:row>1</xdr:row>
      <xdr:rowOff>1000126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D7F45F-A31F-49B8-A4CB-58CE0A1EC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8134" y="209551"/>
          <a:ext cx="346609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829128</xdr:colOff>
      <xdr:row>1</xdr:row>
      <xdr:rowOff>238126</xdr:rowOff>
    </xdr:from>
    <xdr:to>
      <xdr:col>10</xdr:col>
      <xdr:colOff>313003</xdr:colOff>
      <xdr:row>1</xdr:row>
      <xdr:rowOff>1227494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60D6BD3-A302-4266-9C7E-AD015CCF87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716" r="-1"/>
        <a:stretch/>
      </xdr:blipFill>
      <xdr:spPr>
        <a:xfrm>
          <a:off x="2143578" y="304801"/>
          <a:ext cx="6399025" cy="989368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762001</xdr:colOff>
      <xdr:row>1</xdr:row>
      <xdr:rowOff>971551</xdr:rowOff>
    </xdr:from>
    <xdr:to>
      <xdr:col>15</xdr:col>
      <xdr:colOff>409575</xdr:colOff>
      <xdr:row>1</xdr:row>
      <xdr:rowOff>1424971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EF86178-CF5B-47A3-9BB4-F10419B6F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448926" y="1038226"/>
          <a:ext cx="1800224" cy="453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ed%20Pictur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ed Pictur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bartrai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76215-A03A-4BD3-93B0-7CCFB81B9B85}">
  <dimension ref="B1:AA79"/>
  <sheetViews>
    <sheetView showGridLines="0" tabSelected="1" view="pageBreakPreview" zoomScaleNormal="100" zoomScaleSheetLayoutView="100" workbookViewId="0">
      <selection activeCell="C5" sqref="C5:E5"/>
    </sheetView>
  </sheetViews>
  <sheetFormatPr defaultRowHeight="15" x14ac:dyDescent="0.25"/>
  <cols>
    <col min="1" max="1" width="1.42578125" style="9" customWidth="1"/>
    <col min="2" max="3" width="9.140625" style="9"/>
    <col min="4" max="4" width="13.7109375" style="9" customWidth="1"/>
    <col min="5" max="5" width="20.7109375" style="9" customWidth="1"/>
    <col min="6" max="6" width="9.42578125" style="9" customWidth="1"/>
    <col min="7" max="7" width="9.140625" style="9"/>
    <col min="8" max="8" width="25.85546875" style="9" customWidth="1"/>
    <col min="9" max="9" width="15.7109375" style="9" customWidth="1"/>
    <col min="10" max="10" width="9.140625" style="9"/>
    <col min="11" max="11" width="12.7109375" style="9" customWidth="1"/>
    <col min="12" max="12" width="9.140625" style="9"/>
    <col min="13" max="13" width="14" style="9" customWidth="1"/>
    <col min="14" max="15" width="9.140625" style="9"/>
    <col min="16" max="16" width="13.140625" style="9" customWidth="1"/>
    <col min="17" max="17" width="1" style="9" customWidth="1"/>
    <col min="18" max="18" width="10.5703125" style="9" hidden="1" customWidth="1"/>
    <col min="19" max="19" width="9.140625" style="9" hidden="1" customWidth="1"/>
    <col min="20" max="20" width="10.28515625" style="9" hidden="1" customWidth="1"/>
    <col min="21" max="24" width="9.140625" style="9" hidden="1" customWidth="1"/>
    <col min="25" max="25" width="9" style="9" hidden="1" customWidth="1"/>
    <col min="26" max="28" width="9" style="9" customWidth="1"/>
    <col min="29" max="16384" width="9.140625" style="9"/>
  </cols>
  <sheetData>
    <row r="1" spans="2:22" ht="5.25" customHeight="1" x14ac:dyDescent="0.25"/>
    <row r="2" spans="2:22" ht="122.25" customHeight="1" x14ac:dyDescent="0.25"/>
    <row r="3" spans="2:22" x14ac:dyDescent="0.25">
      <c r="B3" s="16"/>
      <c r="C3" s="41" t="s">
        <v>72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R3" s="10" t="str">
        <f>_xlfn.CONCAT("More than ",R57,"m from running edge/lane")</f>
        <v>More than 3.47m from running edge/lane</v>
      </c>
      <c r="S3" s="10"/>
      <c r="T3" s="10"/>
      <c r="U3" s="10"/>
      <c r="V3" s="10">
        <f>IF(C8=R3,1,0)</f>
        <v>1</v>
      </c>
    </row>
    <row r="4" spans="2:22" ht="15.75" thickBot="1" x14ac:dyDescent="0.3">
      <c r="B4" s="20"/>
      <c r="C4" s="9" t="s">
        <v>78</v>
      </c>
      <c r="G4" s="9" t="s">
        <v>79</v>
      </c>
      <c r="J4" s="9" t="s">
        <v>87</v>
      </c>
      <c r="P4" s="24"/>
      <c r="R4" s="10" t="str">
        <f>_xlfn.CONCAT("Between ",R55,"m and ",R57,"m from the nearest running rail")</f>
        <v>Between 1.67m and 3.47m from the nearest running rail</v>
      </c>
      <c r="S4" s="10"/>
      <c r="T4" s="10"/>
      <c r="U4" s="10"/>
      <c r="V4" s="10"/>
    </row>
    <row r="5" spans="2:22" ht="15.75" thickBot="1" x14ac:dyDescent="0.3">
      <c r="B5" s="20"/>
      <c r="C5" s="47" t="s">
        <v>82</v>
      </c>
      <c r="D5" s="48"/>
      <c r="E5" s="49"/>
      <c r="G5" s="36">
        <v>150</v>
      </c>
      <c r="H5" s="9" t="s">
        <v>100</v>
      </c>
      <c r="J5" s="36">
        <v>3.5</v>
      </c>
      <c r="K5" s="9" t="s">
        <v>101</v>
      </c>
      <c r="P5" s="24"/>
      <c r="R5" s="10" t="str">
        <f>_xlfn.CONCAT("Less than ",R55,"m from the nearest running edge (within 300mm from fouling Point)")</f>
        <v>Less than 1.67m from the nearest running edge (within 300mm from fouling Point)</v>
      </c>
      <c r="S5" s="10"/>
      <c r="T5" s="10"/>
      <c r="U5" s="10"/>
      <c r="V5" s="10"/>
    </row>
    <row r="6" spans="2:22" x14ac:dyDescent="0.25">
      <c r="B6" s="20"/>
      <c r="P6" s="24"/>
      <c r="R6" s="10" t="b">
        <f>OR(R3=C8,R4=C8,R5=C8)</f>
        <v>1</v>
      </c>
      <c r="S6" s="10">
        <f>IF(R6=TRUE,1,0)</f>
        <v>1</v>
      </c>
      <c r="T6" s="10"/>
      <c r="U6" s="10"/>
      <c r="V6" s="10"/>
    </row>
    <row r="7" spans="2:22" ht="15.75" thickBot="1" x14ac:dyDescent="0.3">
      <c r="B7" s="20"/>
      <c r="C7" s="9" t="s">
        <v>10</v>
      </c>
      <c r="J7" s="9" t="s">
        <v>11</v>
      </c>
      <c r="P7" s="24"/>
      <c r="R7" s="10"/>
      <c r="S7" s="10"/>
      <c r="T7" s="10"/>
      <c r="U7" s="10"/>
      <c r="V7" s="10"/>
    </row>
    <row r="8" spans="2:22" ht="15.75" thickBot="1" x14ac:dyDescent="0.3">
      <c r="B8" s="20"/>
      <c r="C8" s="47" t="s">
        <v>96</v>
      </c>
      <c r="D8" s="48"/>
      <c r="E8" s="48"/>
      <c r="F8" s="48"/>
      <c r="G8" s="48"/>
      <c r="H8" s="49"/>
      <c r="J8" s="36">
        <v>300</v>
      </c>
      <c r="K8" s="9" t="s">
        <v>89</v>
      </c>
      <c r="P8" s="24"/>
      <c r="R8" s="10" t="s">
        <v>95</v>
      </c>
      <c r="S8" s="10"/>
      <c r="T8" s="10"/>
      <c r="U8" s="10"/>
      <c r="V8" s="10"/>
    </row>
    <row r="9" spans="2:22" x14ac:dyDescent="0.25">
      <c r="B9" s="20"/>
      <c r="P9" s="24"/>
      <c r="R9" s="10" t="s">
        <v>8</v>
      </c>
      <c r="S9" s="10"/>
      <c r="T9" s="10"/>
      <c r="U9" s="10"/>
      <c r="V9" s="10"/>
    </row>
    <row r="10" spans="2:22" ht="15.75" thickBot="1" x14ac:dyDescent="0.3">
      <c r="B10" s="20"/>
      <c r="C10" s="9" t="str">
        <f>_xlfn.CONCAT("Can the planned work forseeably foul the High Integrity Zone? (",J16,"m from the running edge/lane)")</f>
        <v>Can the planned work forseeably foul the High Integrity Zone? (3.47m from the running edge/lane)</v>
      </c>
      <c r="P10" s="24"/>
      <c r="R10" s="10" t="s">
        <v>9</v>
      </c>
      <c r="S10" s="10"/>
      <c r="T10" s="10"/>
      <c r="U10" s="10"/>
      <c r="V10" s="10"/>
    </row>
    <row r="11" spans="2:22" ht="15.75" thickBot="1" x14ac:dyDescent="0.3">
      <c r="B11" s="20"/>
      <c r="C11" s="36" t="s">
        <v>8</v>
      </c>
      <c r="P11" s="24"/>
      <c r="R11" s="10"/>
      <c r="S11" s="10"/>
      <c r="T11" s="10"/>
      <c r="U11" s="10"/>
      <c r="V11" s="10"/>
    </row>
    <row r="12" spans="2:22" x14ac:dyDescent="0.25">
      <c r="B12" s="20"/>
      <c r="P12" s="24"/>
      <c r="R12" s="10" t="s">
        <v>0</v>
      </c>
      <c r="S12" s="10" t="b">
        <f>AND(C8=R3,C11=R10)</f>
        <v>0</v>
      </c>
      <c r="T12" s="10"/>
      <c r="U12" s="10"/>
      <c r="V12" s="10"/>
    </row>
    <row r="13" spans="2:22" x14ac:dyDescent="0.25">
      <c r="B13" s="20"/>
      <c r="P13" s="24"/>
      <c r="R13" s="10" t="s">
        <v>1</v>
      </c>
      <c r="S13" s="10" t="b">
        <f>AND(C8=R3,C11=R9)</f>
        <v>1</v>
      </c>
      <c r="T13" s="10"/>
      <c r="U13" s="10"/>
      <c r="V13" s="10"/>
    </row>
    <row r="14" spans="2:22" x14ac:dyDescent="0.25">
      <c r="B14" s="20"/>
      <c r="C14" s="11" t="s">
        <v>98</v>
      </c>
      <c r="D14" s="11"/>
      <c r="E14" s="11" t="str">
        <f>_xlfn.IFNA(_xlfn.IFS(C8=R5,"Possession Required",C8=R4,"IS3",S13=TRUE,"IS2",S12=TRUE,"IS1"),"Please Select New Planned Working Position")</f>
        <v>IS2</v>
      </c>
      <c r="I14" s="12" t="s">
        <v>77</v>
      </c>
      <c r="J14" s="13">
        <f>_xlfn.IFS(C5=R45,U45+R53,C5=R46,U46+R53,C5=R47,U47+R53,C5=R48,U48+R53,C5=R49,U49+R53)</f>
        <v>1.37</v>
      </c>
      <c r="K14" s="11" t="s">
        <v>12</v>
      </c>
      <c r="L14" s="14"/>
      <c r="P14" s="24"/>
      <c r="R14" s="10" t="s">
        <v>74</v>
      </c>
      <c r="S14" s="10" t="b">
        <f>OR(S12=TRUE,S13=TRUE)</f>
        <v>1</v>
      </c>
      <c r="T14" s="10"/>
      <c r="U14" s="10"/>
      <c r="V14" s="10"/>
    </row>
    <row r="15" spans="2:22" x14ac:dyDescent="0.25">
      <c r="B15" s="20"/>
      <c r="I15" s="12" t="s">
        <v>94</v>
      </c>
      <c r="J15" s="13">
        <f>R55</f>
        <v>1.6700000000000002</v>
      </c>
      <c r="K15" s="11" t="s">
        <v>12</v>
      </c>
      <c r="P15" s="24"/>
      <c r="R15" s="10" t="s">
        <v>90</v>
      </c>
      <c r="S15" s="10"/>
      <c r="T15" s="10"/>
      <c r="U15" s="10"/>
      <c r="V15" s="10"/>
    </row>
    <row r="16" spans="2:22" x14ac:dyDescent="0.25">
      <c r="B16" s="20"/>
      <c r="I16" s="12" t="s">
        <v>93</v>
      </c>
      <c r="J16" s="13">
        <f>R57</f>
        <v>3.47</v>
      </c>
      <c r="K16" s="11" t="s">
        <v>12</v>
      </c>
      <c r="P16" s="24"/>
      <c r="R16" s="10" t="s">
        <v>102</v>
      </c>
      <c r="S16" s="10" t="b">
        <f>IF(E14=R16,TRUE,FALSE)</f>
        <v>0</v>
      </c>
      <c r="T16" s="10"/>
      <c r="U16" s="10"/>
      <c r="V16" s="10"/>
    </row>
    <row r="17" spans="2:22" x14ac:dyDescent="0.25">
      <c r="B17" s="30"/>
      <c r="P17" s="24"/>
      <c r="R17" s="10" t="s">
        <v>13</v>
      </c>
      <c r="S17" s="10"/>
      <c r="T17" s="10"/>
      <c r="U17" s="10"/>
      <c r="V17" s="10"/>
    </row>
    <row r="18" spans="2:22" ht="15.75" x14ac:dyDescent="0.25">
      <c r="B18" s="16"/>
      <c r="C18" s="37" t="s">
        <v>73</v>
      </c>
      <c r="D18" s="18"/>
      <c r="E18" s="18"/>
      <c r="F18" s="18"/>
      <c r="G18" s="18"/>
      <c r="H18" s="18"/>
      <c r="I18" s="18"/>
      <c r="J18" s="19"/>
      <c r="P18" s="24"/>
      <c r="R18" s="10"/>
      <c r="S18" s="10"/>
      <c r="T18" s="10"/>
      <c r="U18" s="10"/>
      <c r="V18" s="10"/>
    </row>
    <row r="19" spans="2:22" x14ac:dyDescent="0.25">
      <c r="B19" s="20"/>
      <c r="C19" s="21"/>
      <c r="D19" s="21"/>
      <c r="E19" s="21"/>
      <c r="F19" s="21"/>
      <c r="G19" s="21"/>
      <c r="H19" s="21"/>
      <c r="I19" s="21"/>
      <c r="J19" s="24"/>
      <c r="P19" s="24"/>
      <c r="R19" s="10">
        <f>ROUNDUP(J8/200,0)</f>
        <v>2</v>
      </c>
      <c r="S19" s="10"/>
      <c r="T19" s="10"/>
      <c r="U19" s="10"/>
      <c r="V19" s="10"/>
    </row>
    <row r="20" spans="2:22" x14ac:dyDescent="0.25">
      <c r="B20" s="20"/>
      <c r="C20" s="38" t="s">
        <v>70</v>
      </c>
      <c r="D20" s="39"/>
      <c r="E20" s="21"/>
      <c r="F20" s="21"/>
      <c r="G20" s="21"/>
      <c r="H20" s="21"/>
      <c r="I20" s="21"/>
      <c r="J20" s="24"/>
      <c r="P20" s="24"/>
      <c r="R20" s="10"/>
      <c r="S20" s="10"/>
      <c r="T20" s="10"/>
      <c r="U20" s="10"/>
      <c r="V20" s="10"/>
    </row>
    <row r="21" spans="2:22" ht="15.75" thickBot="1" x14ac:dyDescent="0.3">
      <c r="B21" s="20"/>
      <c r="C21" s="21" t="s">
        <v>14</v>
      </c>
      <c r="D21" s="21"/>
      <c r="E21" s="21"/>
      <c r="F21" s="21"/>
      <c r="G21" s="21" t="s">
        <v>15</v>
      </c>
      <c r="H21" s="21"/>
      <c r="I21" s="21"/>
      <c r="J21" s="24"/>
      <c r="P21" s="24"/>
      <c r="R21" s="10"/>
      <c r="S21" s="10"/>
      <c r="T21" s="10"/>
      <c r="U21" s="10"/>
      <c r="V21" s="10"/>
    </row>
    <row r="22" spans="2:22" ht="15.75" thickBot="1" x14ac:dyDescent="0.3">
      <c r="B22" s="20"/>
      <c r="C22" s="36">
        <v>1</v>
      </c>
      <c r="D22" s="21" t="s">
        <v>29</v>
      </c>
      <c r="E22" s="21"/>
      <c r="F22" s="21"/>
      <c r="G22" s="36">
        <v>5</v>
      </c>
      <c r="H22" s="21" t="s">
        <v>29</v>
      </c>
      <c r="I22" s="21"/>
      <c r="J22" s="24"/>
      <c r="P22" s="24"/>
      <c r="R22" s="10"/>
      <c r="S22" s="10"/>
      <c r="T22" s="10"/>
      <c r="U22" s="10"/>
      <c r="V22" s="10"/>
    </row>
    <row r="23" spans="2:22" x14ac:dyDescent="0.25">
      <c r="B23" s="20"/>
      <c r="C23" s="21"/>
      <c r="D23" s="21"/>
      <c r="E23" s="21"/>
      <c r="F23" s="21"/>
      <c r="G23" s="21"/>
      <c r="H23" s="21"/>
      <c r="I23" s="21"/>
      <c r="J23" s="24"/>
      <c r="P23" s="24"/>
      <c r="R23" s="10"/>
      <c r="S23" s="10"/>
      <c r="T23" s="10"/>
      <c r="U23" s="10"/>
      <c r="V23" s="10"/>
    </row>
    <row r="24" spans="2:22" x14ac:dyDescent="0.25">
      <c r="B24" s="20"/>
      <c r="C24" s="39" t="s">
        <v>71</v>
      </c>
      <c r="D24" s="21"/>
      <c r="E24" s="21"/>
      <c r="F24" s="21"/>
      <c r="G24" s="21"/>
      <c r="H24" s="21"/>
      <c r="I24" s="21"/>
      <c r="J24" s="24"/>
      <c r="P24" s="24"/>
      <c r="R24" s="10"/>
      <c r="S24" s="10"/>
      <c r="T24" s="10"/>
      <c r="U24" s="10"/>
      <c r="V24" s="10"/>
    </row>
    <row r="25" spans="2:22" ht="15.75" thickBot="1" x14ac:dyDescent="0.3">
      <c r="B25" s="20"/>
      <c r="C25" s="21" t="s">
        <v>35</v>
      </c>
      <c r="D25" s="21"/>
      <c r="E25" s="21"/>
      <c r="F25" s="21" t="s">
        <v>34</v>
      </c>
      <c r="G25" s="21"/>
      <c r="H25" s="21"/>
      <c r="I25" s="21" t="s">
        <v>28</v>
      </c>
      <c r="J25" s="24"/>
      <c r="P25" s="24"/>
      <c r="R25" s="10"/>
      <c r="S25" s="10"/>
      <c r="T25" s="10"/>
      <c r="U25" s="10"/>
      <c r="V25" s="10"/>
    </row>
    <row r="26" spans="2:22" ht="15.75" thickBot="1" x14ac:dyDescent="0.3">
      <c r="B26" s="20"/>
      <c r="C26" s="36">
        <v>8</v>
      </c>
      <c r="D26" s="21" t="s">
        <v>30</v>
      </c>
      <c r="E26" s="21"/>
      <c r="F26" s="36">
        <v>5</v>
      </c>
      <c r="G26" s="21"/>
      <c r="H26" s="21"/>
      <c r="I26" s="36">
        <v>15</v>
      </c>
      <c r="J26" s="24" t="s">
        <v>31</v>
      </c>
      <c r="P26" s="24"/>
      <c r="R26" s="10" t="s">
        <v>40</v>
      </c>
      <c r="S26" s="10"/>
      <c r="T26" s="10"/>
      <c r="U26" s="10"/>
      <c r="V26" s="10"/>
    </row>
    <row r="27" spans="2:22" x14ac:dyDescent="0.25">
      <c r="B27" s="30"/>
      <c r="C27" s="40"/>
      <c r="D27" s="31"/>
      <c r="E27" s="31"/>
      <c r="F27" s="31"/>
      <c r="G27" s="31"/>
      <c r="H27" s="31"/>
      <c r="I27" s="31"/>
      <c r="J27" s="35"/>
      <c r="P27" s="35"/>
      <c r="R27" s="10" t="s">
        <v>24</v>
      </c>
      <c r="S27" s="10"/>
      <c r="T27" s="15">
        <f>_xlfn.IFS(E14="IS1",'Cost Comparison'!R62,E14="IS2",'Cost Comparison'!R69,E14="IS3",'Cost Comparison'!R75)</f>
        <v>952</v>
      </c>
      <c r="U27" s="10" t="s">
        <v>43</v>
      </c>
      <c r="V27" s="10"/>
    </row>
    <row r="28" spans="2:22" ht="15.75" thickBot="1" x14ac:dyDescent="0.3">
      <c r="B28" s="16"/>
      <c r="C28" s="17" t="s">
        <v>16</v>
      </c>
      <c r="D28" s="18"/>
      <c r="E28" s="19"/>
      <c r="F28" s="16"/>
      <c r="G28" s="17" t="s">
        <v>17</v>
      </c>
      <c r="H28" s="18"/>
      <c r="I28" s="19"/>
      <c r="J28" s="16"/>
      <c r="K28" s="17" t="s">
        <v>18</v>
      </c>
      <c r="L28" s="18"/>
      <c r="M28" s="18"/>
      <c r="N28" s="18"/>
      <c r="O28" s="18"/>
      <c r="P28" s="19"/>
      <c r="R28" s="10" t="s">
        <v>25</v>
      </c>
      <c r="S28" s="10"/>
      <c r="T28" s="15">
        <f>_xlfn.IFS(E14="IS1",'Cost Comparison'!R63,E14="IS2",'Cost Comparison'!R70,E14="IS3",'Cost Comparison'!R76)</f>
        <v>510</v>
      </c>
      <c r="U28" s="10" t="s">
        <v>44</v>
      </c>
      <c r="V28" s="10"/>
    </row>
    <row r="29" spans="2:22" ht="15.75" thickBot="1" x14ac:dyDescent="0.3">
      <c r="B29" s="20"/>
      <c r="C29" s="21" t="s">
        <v>19</v>
      </c>
      <c r="D29" s="21"/>
      <c r="E29" s="22">
        <f>T27*R19</f>
        <v>1904</v>
      </c>
      <c r="F29" s="20"/>
      <c r="G29" s="21" t="s">
        <v>19</v>
      </c>
      <c r="H29" s="21"/>
      <c r="I29" s="23">
        <f>T38*(ROUNDUP(J8/18,0))</f>
        <v>7650</v>
      </c>
      <c r="J29" s="20"/>
      <c r="K29" s="36">
        <v>5</v>
      </c>
      <c r="L29" s="21" t="s">
        <v>38</v>
      </c>
      <c r="M29" s="21"/>
      <c r="N29" s="21"/>
      <c r="O29" s="21"/>
      <c r="P29" s="24"/>
      <c r="R29" s="10" t="s">
        <v>26</v>
      </c>
      <c r="S29" s="10"/>
      <c r="T29" s="15">
        <f>_xlfn.IFS(E14="IS1",'Cost Comparison'!R64,E14="IS2",'Cost Comparison'!R71,E14="IS3",'Cost Comparison'!R77)</f>
        <v>0.8</v>
      </c>
      <c r="U29" s="10" t="s">
        <v>45</v>
      </c>
      <c r="V29" s="10"/>
    </row>
    <row r="30" spans="2:22" x14ac:dyDescent="0.25">
      <c r="B30" s="20"/>
      <c r="C30" s="21" t="s">
        <v>20</v>
      </c>
      <c r="D30" s="21"/>
      <c r="E30" s="22">
        <f>_xlfn.IFS(E14="IS1",((C22+G22)*T28),E14="IS2",((C22*T28)+(G22*T31)),E14="IS3",((C22+G22)*T28))</f>
        <v>1260</v>
      </c>
      <c r="F30" s="20"/>
      <c r="G30" s="21" t="s">
        <v>49</v>
      </c>
      <c r="H30" s="21"/>
      <c r="I30" s="23">
        <f>ROUNDUP(J8/100,0)*T39</f>
        <v>2280</v>
      </c>
      <c r="J30" s="20"/>
      <c r="K30" s="21">
        <f>((C26-K29)/C26)*100</f>
        <v>37.5</v>
      </c>
      <c r="L30" s="21" t="s">
        <v>53</v>
      </c>
      <c r="M30" s="21"/>
      <c r="N30" s="21"/>
      <c r="O30" s="21"/>
      <c r="P30" s="24"/>
      <c r="R30" s="10" t="s">
        <v>27</v>
      </c>
      <c r="S30" s="10"/>
      <c r="T30" s="15">
        <f>_xlfn.IFS(E14="IS1",'Cost Comparison'!R65,E14="IS2",'Cost Comparison'!R72,E14="IS3",'Cost Comparison'!R78)</f>
        <v>46.46</v>
      </c>
      <c r="U30" s="10" t="s">
        <v>46</v>
      </c>
      <c r="V30" s="10"/>
    </row>
    <row r="31" spans="2:22" x14ac:dyDescent="0.25">
      <c r="B31" s="20"/>
      <c r="C31" s="21" t="s">
        <v>21</v>
      </c>
      <c r="D31" s="21"/>
      <c r="E31" s="22">
        <f>J8*T29*I26</f>
        <v>3600</v>
      </c>
      <c r="F31" s="20"/>
      <c r="G31" s="21" t="s">
        <v>68</v>
      </c>
      <c r="H31" s="21"/>
      <c r="I31" s="23">
        <f>ROUNDUP(J8/100,0)*35*8</f>
        <v>840</v>
      </c>
      <c r="J31" s="20"/>
      <c r="K31" s="21">
        <f>ROUNDUP((F26*I26)*(K30/100),0)</f>
        <v>29</v>
      </c>
      <c r="L31" s="21" t="s">
        <v>58</v>
      </c>
      <c r="M31" s="21"/>
      <c r="N31" s="21"/>
      <c r="O31" s="21"/>
      <c r="P31" s="24"/>
      <c r="R31" s="10" t="s">
        <v>33</v>
      </c>
      <c r="S31" s="10"/>
      <c r="T31" s="15">
        <f>'Cost Comparison'!R63</f>
        <v>150</v>
      </c>
      <c r="U31" s="10" t="s">
        <v>44</v>
      </c>
      <c r="V31" s="10"/>
    </row>
    <row r="32" spans="2:22" ht="15.75" thickBot="1" x14ac:dyDescent="0.3">
      <c r="B32" s="20"/>
      <c r="C32" s="21" t="s">
        <v>22</v>
      </c>
      <c r="D32" s="21"/>
      <c r="E32" s="22">
        <f>_xlfn.IFS(E14="IS1",((C22+G22)*T30),E14="IS2",((C22*T30)+(G22*T32)),E14="IS3",((C22+G22)*T30))*F26*I26</f>
        <v>15248.25</v>
      </c>
      <c r="F32" s="20"/>
      <c r="G32" s="21" t="s">
        <v>75</v>
      </c>
      <c r="H32" s="21"/>
      <c r="I32" s="23">
        <f>ROUNDUP(J8/100,0)*50*8</f>
        <v>1200</v>
      </c>
      <c r="J32" s="20"/>
      <c r="K32" s="21"/>
      <c r="L32" s="21"/>
      <c r="M32" s="21"/>
      <c r="N32" s="21"/>
      <c r="O32" s="21"/>
      <c r="P32" s="24"/>
      <c r="R32" s="10" t="s">
        <v>32</v>
      </c>
      <c r="S32" s="10"/>
      <c r="T32" s="15">
        <f>'Cost Comparison'!R65</f>
        <v>31.37</v>
      </c>
      <c r="U32" s="10" t="s">
        <v>46</v>
      </c>
      <c r="V32" s="10"/>
    </row>
    <row r="33" spans="2:22" ht="15.75" thickBot="1" x14ac:dyDescent="0.3">
      <c r="B33" s="20"/>
      <c r="C33" s="21" t="s">
        <v>42</v>
      </c>
      <c r="D33" s="21"/>
      <c r="E33" s="22">
        <f>IF((F26*C26)&lt;40,T33*40*I26,C26*F26*T33*I26)</f>
        <v>20700</v>
      </c>
      <c r="F33" s="20"/>
      <c r="G33" s="21" t="s">
        <v>39</v>
      </c>
      <c r="H33" s="21"/>
      <c r="I33" s="23">
        <f>T41*J8*I26</f>
        <v>36000</v>
      </c>
      <c r="J33" s="20"/>
      <c r="K33" s="36">
        <v>45</v>
      </c>
      <c r="L33" s="21" t="s">
        <v>54</v>
      </c>
      <c r="M33" s="21"/>
      <c r="N33" s="21"/>
      <c r="O33" s="21"/>
      <c r="P33" s="24"/>
      <c r="R33" s="10" t="s">
        <v>36</v>
      </c>
      <c r="S33" s="10"/>
      <c r="T33" s="15">
        <f>'Cost Comparison'!R66</f>
        <v>34.5</v>
      </c>
      <c r="U33" s="10" t="s">
        <v>47</v>
      </c>
      <c r="V33" s="10"/>
    </row>
    <row r="34" spans="2:22" ht="15.75" thickBot="1" x14ac:dyDescent="0.3">
      <c r="B34" s="20"/>
      <c r="C34" s="21" t="s">
        <v>48</v>
      </c>
      <c r="D34" s="21"/>
      <c r="E34" s="22">
        <v>0</v>
      </c>
      <c r="F34" s="20"/>
      <c r="G34" s="21" t="s">
        <v>42</v>
      </c>
      <c r="H34" s="21"/>
      <c r="I34" s="23">
        <f>IF((F26*C26)&lt;40,T33*40*I26,C26*F26*T33*I26)</f>
        <v>20700</v>
      </c>
      <c r="J34" s="20"/>
      <c r="K34" s="36">
        <v>40</v>
      </c>
      <c r="L34" s="21" t="s">
        <v>55</v>
      </c>
      <c r="M34" s="21"/>
      <c r="N34" s="21"/>
      <c r="O34" s="21"/>
      <c r="P34" s="24"/>
      <c r="R34" s="10"/>
      <c r="S34" s="10"/>
      <c r="T34" s="10"/>
      <c r="U34" s="10"/>
      <c r="V34" s="10"/>
    </row>
    <row r="35" spans="2:22" ht="15.75" thickBot="1" x14ac:dyDescent="0.3">
      <c r="B35" s="20"/>
      <c r="C35" s="21"/>
      <c r="D35" s="21"/>
      <c r="E35" s="22"/>
      <c r="F35" s="20"/>
      <c r="G35" s="21" t="s">
        <v>48</v>
      </c>
      <c r="H35" s="21"/>
      <c r="I35" s="23">
        <f>I29</f>
        <v>7650</v>
      </c>
      <c r="J35" s="20"/>
      <c r="K35" s="21"/>
      <c r="L35" s="21"/>
      <c r="M35" s="21"/>
      <c r="N35" s="21"/>
      <c r="O35" s="21"/>
      <c r="P35" s="24"/>
      <c r="R35" s="10"/>
      <c r="S35" s="10"/>
      <c r="T35" s="10"/>
      <c r="U35" s="10"/>
      <c r="V35" s="10"/>
    </row>
    <row r="36" spans="2:22" ht="15.75" thickBot="1" x14ac:dyDescent="0.3">
      <c r="B36" s="20"/>
      <c r="C36" s="21"/>
      <c r="D36" s="21"/>
      <c r="E36" s="24"/>
      <c r="F36" s="20"/>
      <c r="G36" s="21" t="s">
        <v>52</v>
      </c>
      <c r="H36" s="21"/>
      <c r="I36" s="23">
        <f>I30</f>
        <v>2280</v>
      </c>
      <c r="J36" s="20"/>
      <c r="K36" s="36">
        <v>50</v>
      </c>
      <c r="L36" s="21" t="s">
        <v>56</v>
      </c>
      <c r="M36" s="21"/>
      <c r="N36" s="21"/>
      <c r="O36" s="21"/>
      <c r="P36" s="24"/>
      <c r="R36" s="10"/>
      <c r="S36" s="10"/>
      <c r="T36" s="10"/>
      <c r="U36" s="10"/>
      <c r="V36" s="10"/>
    </row>
    <row r="37" spans="2:22" ht="15.75" thickBot="1" x14ac:dyDescent="0.3">
      <c r="B37" s="20"/>
      <c r="C37" s="21"/>
      <c r="D37" s="21"/>
      <c r="E37" s="24"/>
      <c r="F37" s="20"/>
      <c r="G37" s="21" t="s">
        <v>69</v>
      </c>
      <c r="H37" s="21"/>
      <c r="I37" s="23">
        <f>I31</f>
        <v>840</v>
      </c>
      <c r="J37" s="20"/>
      <c r="K37" s="36">
        <v>45</v>
      </c>
      <c r="L37" s="21" t="s">
        <v>57</v>
      </c>
      <c r="M37" s="21"/>
      <c r="N37" s="21"/>
      <c r="O37" s="21"/>
      <c r="P37" s="24"/>
      <c r="R37" s="10" t="s">
        <v>41</v>
      </c>
      <c r="S37" s="10"/>
      <c r="T37" s="10"/>
      <c r="U37" s="10"/>
      <c r="V37" s="10"/>
    </row>
    <row r="38" spans="2:22" x14ac:dyDescent="0.25">
      <c r="B38" s="20"/>
      <c r="C38" s="21"/>
      <c r="D38" s="21"/>
      <c r="E38" s="24"/>
      <c r="F38" s="20"/>
      <c r="G38" s="21" t="s">
        <v>76</v>
      </c>
      <c r="H38" s="21"/>
      <c r="I38" s="23">
        <f>ROUNDUP(J8/100,0)*50*8</f>
        <v>1200</v>
      </c>
      <c r="J38" s="20"/>
      <c r="K38" s="21"/>
      <c r="L38" s="21"/>
      <c r="M38" s="21"/>
      <c r="N38" s="21"/>
      <c r="O38" s="21"/>
      <c r="P38" s="24"/>
      <c r="R38" s="10" t="s">
        <v>19</v>
      </c>
      <c r="S38" s="10"/>
      <c r="T38" s="15">
        <v>450</v>
      </c>
      <c r="U38" s="10" t="s">
        <v>51</v>
      </c>
      <c r="V38" s="10"/>
    </row>
    <row r="39" spans="2:22" x14ac:dyDescent="0.25">
      <c r="B39" s="20"/>
      <c r="C39" s="21"/>
      <c r="D39" s="21"/>
      <c r="E39" s="24"/>
      <c r="F39" s="20"/>
      <c r="G39" s="21"/>
      <c r="H39" s="21"/>
      <c r="I39" s="24"/>
      <c r="J39" s="20"/>
      <c r="K39" s="25">
        <f>(C22*C26*F26*I26*(K36-K33))+(G22*C26*F26*I26*(K37-K34))</f>
        <v>18000</v>
      </c>
      <c r="L39" s="21" t="s">
        <v>59</v>
      </c>
      <c r="M39" s="21"/>
      <c r="N39" s="21"/>
      <c r="O39" s="21"/>
      <c r="P39" s="24"/>
      <c r="R39" s="10" t="s">
        <v>49</v>
      </c>
      <c r="S39" s="10"/>
      <c r="T39" s="15">
        <f>((30*8)+(25*8)+(20*2*8))</f>
        <v>760</v>
      </c>
      <c r="U39" s="10" t="s">
        <v>50</v>
      </c>
      <c r="V39" s="10"/>
    </row>
    <row r="40" spans="2:22" x14ac:dyDescent="0.25">
      <c r="B40" s="20"/>
      <c r="C40" s="21"/>
      <c r="D40" s="21"/>
      <c r="E40" s="24"/>
      <c r="F40" s="20"/>
      <c r="G40" s="21"/>
      <c r="H40" s="21"/>
      <c r="I40" s="24"/>
      <c r="J40" s="20"/>
      <c r="K40" s="25">
        <f>(C22*C26*K31*K36)+(G22*C26*K31*K37)</f>
        <v>63800</v>
      </c>
      <c r="L40" s="21" t="s">
        <v>60</v>
      </c>
      <c r="M40" s="21"/>
      <c r="N40" s="21"/>
      <c r="O40" s="21"/>
      <c r="P40" s="24"/>
      <c r="R40" s="10" t="s">
        <v>20</v>
      </c>
      <c r="S40" s="10"/>
      <c r="T40" s="15">
        <v>0</v>
      </c>
      <c r="U40" s="10"/>
      <c r="V40" s="10"/>
    </row>
    <row r="41" spans="2:22" x14ac:dyDescent="0.25">
      <c r="B41" s="20"/>
      <c r="C41" s="21"/>
      <c r="D41" s="21"/>
      <c r="E41" s="24"/>
      <c r="F41" s="20"/>
      <c r="G41" s="21"/>
      <c r="H41" s="21"/>
      <c r="I41" s="24"/>
      <c r="J41" s="20"/>
      <c r="K41" s="25">
        <f>((F26*I26)+K31)*30*C26</f>
        <v>24960</v>
      </c>
      <c r="L41" s="21" t="s">
        <v>61</v>
      </c>
      <c r="M41" s="21"/>
      <c r="N41" s="21"/>
      <c r="O41" s="21"/>
      <c r="P41" s="24"/>
      <c r="R41" s="10" t="s">
        <v>39</v>
      </c>
      <c r="S41" s="10"/>
      <c r="T41" s="15">
        <v>8</v>
      </c>
      <c r="U41" s="10" t="s">
        <v>45</v>
      </c>
      <c r="V41" s="10"/>
    </row>
    <row r="42" spans="2:22" x14ac:dyDescent="0.25">
      <c r="B42" s="20"/>
      <c r="C42" s="21"/>
      <c r="D42" s="21"/>
      <c r="E42" s="24"/>
      <c r="F42" s="20"/>
      <c r="G42" s="21"/>
      <c r="H42" s="21"/>
      <c r="I42" s="24"/>
      <c r="J42" s="20"/>
      <c r="K42" s="25">
        <f>((((F26*I26))*(25-20)*C26)+(K31*C26*25))*(C22+G22)</f>
        <v>52800</v>
      </c>
      <c r="L42" s="21" t="s">
        <v>62</v>
      </c>
      <c r="M42" s="21"/>
      <c r="N42" s="21"/>
      <c r="O42" s="21"/>
      <c r="P42" s="24"/>
      <c r="R42" s="26" t="s">
        <v>23</v>
      </c>
      <c r="S42" s="26"/>
      <c r="T42" s="27">
        <v>34.5</v>
      </c>
      <c r="U42" s="26" t="s">
        <v>47</v>
      </c>
      <c r="V42" s="26"/>
    </row>
    <row r="43" spans="2:22" ht="16.5" customHeight="1" x14ac:dyDescent="0.25">
      <c r="B43" s="20"/>
      <c r="F43" s="20"/>
      <c r="J43" s="20"/>
      <c r="K43" s="25">
        <f>((((F26*I26))*(30-25)*C26)+(K31*C26*30))</f>
        <v>9960</v>
      </c>
      <c r="L43" s="21" t="s">
        <v>64</v>
      </c>
      <c r="M43" s="21"/>
      <c r="N43" s="21"/>
      <c r="O43" s="21"/>
      <c r="P43" s="24"/>
      <c r="R43" s="26"/>
      <c r="S43" s="26"/>
      <c r="T43" s="26"/>
      <c r="U43" s="26"/>
      <c r="V43" s="26"/>
    </row>
    <row r="44" spans="2:22" ht="14.45" customHeight="1" x14ac:dyDescent="0.25">
      <c r="B44" s="20"/>
      <c r="F44" s="20"/>
      <c r="J44" s="20"/>
      <c r="K44" s="25">
        <f>((((F26*I26))*(35-30)*C26)+(K31*C26*35))</f>
        <v>11120</v>
      </c>
      <c r="L44" s="21" t="s">
        <v>65</v>
      </c>
      <c r="M44" s="21"/>
      <c r="N44" s="21"/>
      <c r="O44" s="21"/>
      <c r="P44" s="24"/>
      <c r="R44" s="26" t="s">
        <v>85</v>
      </c>
      <c r="S44" s="26"/>
      <c r="T44" s="26"/>
      <c r="U44" s="26"/>
      <c r="V44" s="26"/>
    </row>
    <row r="45" spans="2:22" x14ac:dyDescent="0.25">
      <c r="B45" s="20"/>
      <c r="F45" s="20"/>
      <c r="J45" s="20"/>
      <c r="K45" s="21"/>
      <c r="L45" s="21"/>
      <c r="M45" s="21"/>
      <c r="N45" s="21"/>
      <c r="O45" s="21"/>
      <c r="P45" s="24"/>
      <c r="R45" s="26" t="s">
        <v>80</v>
      </c>
      <c r="S45" s="26"/>
      <c r="T45" s="26"/>
      <c r="U45" s="26">
        <v>0.9</v>
      </c>
      <c r="V45" s="26" t="s">
        <v>12</v>
      </c>
    </row>
    <row r="46" spans="2:22" x14ac:dyDescent="0.25">
      <c r="B46" s="20"/>
      <c r="F46" s="20"/>
      <c r="J46" s="20"/>
      <c r="N46" s="21"/>
      <c r="O46" s="21"/>
      <c r="P46" s="24"/>
      <c r="R46" s="26" t="s">
        <v>82</v>
      </c>
      <c r="S46" s="26"/>
      <c r="T46" s="26"/>
      <c r="U46" s="26">
        <v>1</v>
      </c>
      <c r="V46" s="26" t="s">
        <v>12</v>
      </c>
    </row>
    <row r="47" spans="2:22" x14ac:dyDescent="0.25">
      <c r="B47" s="20"/>
      <c r="C47" s="21"/>
      <c r="D47" s="51">
        <f>IF(E14="Possession Required","I-Systems not suitable for this working scenario",SUM(E29:E34))</f>
        <v>42712.25</v>
      </c>
      <c r="E47" s="52"/>
      <c r="F47" s="20"/>
      <c r="G47" s="21"/>
      <c r="H47" s="51">
        <f>IF(S16=FALSE,SUM(I29:I38),"Precast Barrier not suitable for this working scenario as it needs to be 2.0m from nearest running rail and are generally more then 500mm wide")</f>
        <v>80640</v>
      </c>
      <c r="I47" s="52"/>
      <c r="J47" s="20"/>
      <c r="M47" s="57">
        <f>SUM(K39:K44)</f>
        <v>180640</v>
      </c>
      <c r="N47" s="57"/>
      <c r="O47" s="57"/>
      <c r="P47" s="24"/>
      <c r="R47" s="26" t="s">
        <v>81</v>
      </c>
      <c r="S47" s="26"/>
      <c r="T47" s="26"/>
      <c r="U47" s="26">
        <v>1.1000000000000001</v>
      </c>
      <c r="V47" s="26" t="s">
        <v>12</v>
      </c>
    </row>
    <row r="48" spans="2:22" x14ac:dyDescent="0.25">
      <c r="B48" s="20"/>
      <c r="C48" s="21"/>
      <c r="D48" s="51"/>
      <c r="E48" s="52"/>
      <c r="F48" s="20"/>
      <c r="G48" s="21"/>
      <c r="H48" s="51"/>
      <c r="I48" s="52"/>
      <c r="J48" s="20"/>
      <c r="M48" s="57"/>
      <c r="N48" s="57"/>
      <c r="O48" s="57"/>
      <c r="P48" s="24"/>
      <c r="R48" s="26" t="s">
        <v>83</v>
      </c>
      <c r="S48" s="26"/>
      <c r="T48" s="26"/>
      <c r="U48" s="26">
        <v>1.4</v>
      </c>
      <c r="V48" s="26" t="s">
        <v>12</v>
      </c>
    </row>
    <row r="49" spans="2:27" x14ac:dyDescent="0.25">
      <c r="B49" s="20"/>
      <c r="C49" s="21"/>
      <c r="D49" s="51"/>
      <c r="E49" s="52"/>
      <c r="F49" s="20"/>
      <c r="G49" s="21"/>
      <c r="H49" s="51"/>
      <c r="I49" s="52"/>
      <c r="J49" s="20"/>
      <c r="M49" s="57"/>
      <c r="N49" s="57"/>
      <c r="O49" s="57"/>
      <c r="P49" s="24"/>
      <c r="R49" s="26" t="s">
        <v>84</v>
      </c>
      <c r="S49" s="26"/>
      <c r="T49" s="26"/>
      <c r="U49" s="26">
        <v>1.4</v>
      </c>
      <c r="V49" s="26" t="s">
        <v>12</v>
      </c>
    </row>
    <row r="50" spans="2:27" ht="15.75" thickBot="1" x14ac:dyDescent="0.3">
      <c r="B50" s="20"/>
      <c r="C50" s="45" t="s">
        <v>37</v>
      </c>
      <c r="D50" s="53"/>
      <c r="E50" s="54"/>
      <c r="F50" s="20"/>
      <c r="G50" s="45" t="s">
        <v>37</v>
      </c>
      <c r="H50" s="53"/>
      <c r="I50" s="54"/>
      <c r="J50" s="20"/>
      <c r="K50" s="46"/>
      <c r="L50" s="45" t="s">
        <v>63</v>
      </c>
      <c r="M50" s="58"/>
      <c r="N50" s="58"/>
      <c r="O50" s="58"/>
      <c r="P50" s="24"/>
      <c r="R50" s="26"/>
      <c r="S50" s="26"/>
      <c r="T50" s="26"/>
      <c r="U50" s="26"/>
      <c r="V50" s="26"/>
    </row>
    <row r="51" spans="2:27" ht="15.75" thickTop="1" x14ac:dyDescent="0.25">
      <c r="B51" s="20"/>
      <c r="F51" s="20"/>
      <c r="J51" s="20"/>
      <c r="P51" s="24"/>
      <c r="R51" s="26"/>
      <c r="S51" s="26"/>
      <c r="T51" s="26"/>
      <c r="U51" s="26"/>
      <c r="V51" s="26"/>
    </row>
    <row r="52" spans="2:27" ht="15" customHeight="1" x14ac:dyDescent="0.25">
      <c r="B52" s="28">
        <f>IF(S16=TRUE,"N/A",(H47-D47)/H47)</f>
        <v>0.47033420138888887</v>
      </c>
      <c r="C52" s="29" t="s">
        <v>66</v>
      </c>
      <c r="D52" s="21"/>
      <c r="E52" s="24"/>
      <c r="F52" s="20"/>
      <c r="G52" s="55" t="s">
        <v>97</v>
      </c>
      <c r="H52" s="55"/>
      <c r="I52" s="56"/>
      <c r="J52" s="20"/>
      <c r="K52" s="50" t="s">
        <v>97</v>
      </c>
      <c r="L52" s="50"/>
      <c r="M52" s="50"/>
      <c r="N52" s="50"/>
      <c r="O52" s="50"/>
      <c r="P52" s="24"/>
      <c r="R52" s="26" t="s">
        <v>86</v>
      </c>
      <c r="S52" s="10"/>
      <c r="T52" s="10"/>
      <c r="U52" s="10"/>
      <c r="V52" s="10"/>
    </row>
    <row r="53" spans="2:27" x14ac:dyDescent="0.25">
      <c r="B53" s="28">
        <f>IF(E14="Possession Required","N/A",(M47-D47)/M47)</f>
        <v>0.76355043179805138</v>
      </c>
      <c r="C53" s="29" t="s">
        <v>67</v>
      </c>
      <c r="D53" s="21"/>
      <c r="E53" s="24"/>
      <c r="F53" s="20"/>
      <c r="G53" s="55"/>
      <c r="H53" s="55"/>
      <c r="I53" s="56"/>
      <c r="J53" s="20"/>
      <c r="K53" s="50"/>
      <c r="L53" s="50"/>
      <c r="M53" s="50"/>
      <c r="N53" s="50"/>
      <c r="O53" s="50"/>
      <c r="P53" s="24"/>
      <c r="R53" s="10">
        <f>IF(J5="",(ROUND((G5/1000)*(4/1.435),2)),(ROUND((G5/1000)*(J5/1.435),2)))</f>
        <v>0.37</v>
      </c>
      <c r="S53" s="10" t="s">
        <v>12</v>
      </c>
      <c r="T53" s="10"/>
      <c r="U53" s="10"/>
      <c r="V53" s="10"/>
    </row>
    <row r="54" spans="2:27" x14ac:dyDescent="0.25">
      <c r="B54" s="28"/>
      <c r="C54" s="29"/>
      <c r="D54" s="21"/>
      <c r="E54" s="24"/>
      <c r="F54" s="20"/>
      <c r="G54" s="55"/>
      <c r="H54" s="55"/>
      <c r="I54" s="56"/>
      <c r="J54" s="20"/>
      <c r="K54" s="50"/>
      <c r="L54" s="50"/>
      <c r="M54" s="50"/>
      <c r="N54" s="50"/>
      <c r="O54" s="50"/>
      <c r="P54" s="24"/>
      <c r="R54" s="10" t="s">
        <v>88</v>
      </c>
      <c r="S54" s="10"/>
      <c r="T54" s="10"/>
      <c r="U54" s="10"/>
      <c r="V54" s="10"/>
    </row>
    <row r="55" spans="2:27" x14ac:dyDescent="0.25">
      <c r="B55" s="28"/>
      <c r="C55" s="29"/>
      <c r="D55" s="21"/>
      <c r="E55" s="24"/>
      <c r="F55" s="20"/>
      <c r="G55" s="21"/>
      <c r="H55" s="21"/>
      <c r="I55" s="24"/>
      <c r="J55" s="20"/>
      <c r="K55" s="50"/>
      <c r="L55" s="50"/>
      <c r="M55" s="50"/>
      <c r="N55" s="50"/>
      <c r="O55" s="50"/>
      <c r="P55" s="24"/>
      <c r="R55" s="10">
        <f>J14+0.3</f>
        <v>1.6700000000000002</v>
      </c>
      <c r="S55" s="10" t="s">
        <v>12</v>
      </c>
      <c r="T55" s="10"/>
      <c r="U55" s="10"/>
      <c r="V55" s="10"/>
    </row>
    <row r="56" spans="2:27" x14ac:dyDescent="0.25">
      <c r="B56" s="30"/>
      <c r="C56" s="31"/>
      <c r="D56" s="32"/>
      <c r="E56" s="33"/>
      <c r="F56" s="34"/>
      <c r="G56" s="31"/>
      <c r="H56" s="31"/>
      <c r="I56" s="35"/>
      <c r="J56" s="30"/>
      <c r="K56" s="31"/>
      <c r="L56" s="31"/>
      <c r="M56" s="31"/>
      <c r="N56" s="31"/>
      <c r="O56" s="31"/>
      <c r="P56" s="35"/>
      <c r="R56" s="10" t="s">
        <v>92</v>
      </c>
      <c r="S56" s="10"/>
      <c r="T56" s="10"/>
      <c r="U56" s="10"/>
      <c r="V56" s="10"/>
    </row>
    <row r="57" spans="2:27" ht="8.25" customHeight="1" x14ac:dyDescent="0.25">
      <c r="R57" s="10">
        <f>IF(C5=R45,3,(IF(C5=R49,4,IF(C5=R46,U46+R53+0.3+1.8,IF(C5=R47,U47+R53+0.3+1.8,IF(C5=R48,U48+R53+0.3+1.8,))))))</f>
        <v>3.47</v>
      </c>
      <c r="S57" s="10" t="s">
        <v>12</v>
      </c>
      <c r="T57" s="10"/>
      <c r="U57" s="10"/>
      <c r="V57" s="10"/>
    </row>
    <row r="59" spans="2:27" ht="15.75" customHeight="1" x14ac:dyDescent="0.25">
      <c r="Z59" s="42" t="s">
        <v>0</v>
      </c>
      <c r="AA59" s="43" t="e">
        <f>IF(VLOOKUP(Z59,$E$14,1,0)=Z59,1,NA())</f>
        <v>#N/A</v>
      </c>
    </row>
    <row r="60" spans="2:27" ht="15.75" customHeight="1" x14ac:dyDescent="0.25">
      <c r="Z60" s="42" t="s">
        <v>1</v>
      </c>
      <c r="AA60" s="43">
        <f>IF(VLOOKUP(Z60,$E$14,1,0)=Z60,1,NA())</f>
        <v>1</v>
      </c>
    </row>
    <row r="61" spans="2:27" ht="15.75" customHeight="1" thickBot="1" x14ac:dyDescent="0.3">
      <c r="R61" s="9" t="s">
        <v>0</v>
      </c>
      <c r="Z61" s="42" t="s">
        <v>2</v>
      </c>
      <c r="AA61" s="43" t="e">
        <f>IF(VLOOKUP(Z61,$E$14,1,0)=Z61,1,NA())</f>
        <v>#N/A</v>
      </c>
    </row>
    <row r="62" spans="2:27" ht="15.75" customHeight="1" x14ac:dyDescent="0.25">
      <c r="R62" s="3">
        <v>952</v>
      </c>
      <c r="S62" s="1" t="s">
        <v>4</v>
      </c>
      <c r="T62" s="1"/>
      <c r="Z62" s="42" t="s">
        <v>91</v>
      </c>
      <c r="AA62" s="43" t="e">
        <f>IF(VLOOKUP(Z62,$E$14,1,0)=Z62,1,NA())</f>
        <v>#N/A</v>
      </c>
    </row>
    <row r="63" spans="2:27" x14ac:dyDescent="0.25">
      <c r="R63" s="7">
        <v>150</v>
      </c>
      <c r="S63" s="5" t="s">
        <v>3</v>
      </c>
      <c r="T63" s="5"/>
      <c r="Z63" s="44" t="s">
        <v>99</v>
      </c>
      <c r="AA63" s="43"/>
    </row>
    <row r="64" spans="2:27" x14ac:dyDescent="0.25">
      <c r="R64" s="7">
        <v>0.8</v>
      </c>
      <c r="S64" s="5" t="s">
        <v>5</v>
      </c>
      <c r="T64" s="5"/>
    </row>
    <row r="65" spans="18:20" x14ac:dyDescent="0.25">
      <c r="R65" s="7">
        <v>31.37</v>
      </c>
      <c r="S65" s="5" t="s">
        <v>6</v>
      </c>
      <c r="T65" s="5"/>
    </row>
    <row r="66" spans="18:20" x14ac:dyDescent="0.25">
      <c r="R66" s="7">
        <v>34.5</v>
      </c>
      <c r="S66" s="5" t="s">
        <v>7</v>
      </c>
      <c r="T66" s="5"/>
    </row>
    <row r="68" spans="18:20" ht="15.75" thickBot="1" x14ac:dyDescent="0.3">
      <c r="R68" s="9" t="s">
        <v>1</v>
      </c>
    </row>
    <row r="69" spans="18:20" x14ac:dyDescent="0.25">
      <c r="R69" s="4">
        <v>952</v>
      </c>
      <c r="S69" s="2" t="s">
        <v>4</v>
      </c>
      <c r="T69" s="2"/>
    </row>
    <row r="70" spans="18:20" x14ac:dyDescent="0.25">
      <c r="R70" s="8">
        <v>510</v>
      </c>
      <c r="S70" s="6" t="s">
        <v>3</v>
      </c>
      <c r="T70" s="6"/>
    </row>
    <row r="71" spans="18:20" x14ac:dyDescent="0.25">
      <c r="R71" s="8">
        <v>0.8</v>
      </c>
      <c r="S71" s="6" t="s">
        <v>5</v>
      </c>
      <c r="T71" s="6"/>
    </row>
    <row r="72" spans="18:20" x14ac:dyDescent="0.25">
      <c r="R72" s="8">
        <v>46.46</v>
      </c>
      <c r="S72" s="6" t="s">
        <v>6</v>
      </c>
      <c r="T72" s="6"/>
    </row>
    <row r="73" spans="18:20" x14ac:dyDescent="0.25">
      <c r="R73" s="8">
        <v>34.5</v>
      </c>
      <c r="S73" s="6" t="s">
        <v>7</v>
      </c>
      <c r="T73" s="6"/>
    </row>
    <row r="74" spans="18:20" ht="15.75" thickBot="1" x14ac:dyDescent="0.3">
      <c r="R74" s="9" t="s">
        <v>2</v>
      </c>
    </row>
    <row r="75" spans="18:20" x14ac:dyDescent="0.25">
      <c r="R75" s="3">
        <v>2776</v>
      </c>
      <c r="S75" s="1" t="s">
        <v>4</v>
      </c>
      <c r="T75" s="1"/>
    </row>
    <row r="76" spans="18:20" x14ac:dyDescent="0.25">
      <c r="R76" s="7">
        <v>750</v>
      </c>
      <c r="S76" s="5" t="s">
        <v>3</v>
      </c>
      <c r="T76" s="5"/>
    </row>
    <row r="77" spans="18:20" x14ac:dyDescent="0.25">
      <c r="R77" s="7">
        <v>2.3639999999999999</v>
      </c>
      <c r="S77" s="5" t="s">
        <v>5</v>
      </c>
      <c r="T77" s="5"/>
    </row>
    <row r="78" spans="18:20" x14ac:dyDescent="0.25">
      <c r="R78" s="7">
        <v>76.459999999999994</v>
      </c>
      <c r="S78" s="5" t="s">
        <v>6</v>
      </c>
      <c r="T78" s="5"/>
    </row>
    <row r="79" spans="18:20" x14ac:dyDescent="0.25">
      <c r="R79" s="7">
        <v>34.5</v>
      </c>
      <c r="S79" s="5" t="s">
        <v>7</v>
      </c>
      <c r="T79" s="5"/>
    </row>
  </sheetData>
  <sheetProtection algorithmName="SHA-512" hashValue="Z/UHP1Ptk+ECNNvU5YHDKoXo6EbL4RXrJ0zAwMYOSg+jl4f0bw5I8BNcDhz7rE36hiwFPhU1nKHeWOcZ7+NEBQ==" saltValue="leuMrmA2cc3hnCXtVhLGzQ==" spinCount="100000" sheet="1" objects="1" scenarios="1" selectLockedCells="1"/>
  <customSheetViews>
    <customSheetView guid="{32B738FC-9180-49D8-95FE-1EC1441AAEDA}" showPageBreaks="1" hiddenColumns="1" view="pageBreakPreview">
      <selection activeCell="G20" sqref="G20"/>
    </customSheetView>
  </customSheetViews>
  <mergeCells count="7">
    <mergeCell ref="C8:H8"/>
    <mergeCell ref="K52:O55"/>
    <mergeCell ref="C5:E5"/>
    <mergeCell ref="H47:I50"/>
    <mergeCell ref="D47:E50"/>
    <mergeCell ref="G52:I54"/>
    <mergeCell ref="M47:O50"/>
  </mergeCells>
  <phoneticPr fontId="7" type="noConversion"/>
  <conditionalFormatting sqref="C8:H8">
    <cfRule type="expression" dxfId="6" priority="8">
      <formula>$S$6=0</formula>
    </cfRule>
    <cfRule type="expression" dxfId="5" priority="9">
      <formula>"$Q$5=FALSE"</formula>
    </cfRule>
  </conditionalFormatting>
  <conditionalFormatting sqref="C11">
    <cfRule type="expression" dxfId="4" priority="7">
      <formula>$V$3=0</formula>
    </cfRule>
  </conditionalFormatting>
  <conditionalFormatting sqref="E14">
    <cfRule type="expression" dxfId="3" priority="3">
      <formula>$E$14="Possession Required"</formula>
    </cfRule>
    <cfRule type="expression" dxfId="2" priority="4">
      <formula>$E$14="IS1"</formula>
    </cfRule>
    <cfRule type="expression" dxfId="1" priority="5">
      <formula>$E$14="IS2"</formula>
    </cfRule>
    <cfRule type="expression" dxfId="0" priority="6">
      <formula>$E$14="IS3"</formula>
    </cfRule>
  </conditionalFormatting>
  <conditionalFormatting sqref="M47 H47 D4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7 H47 D4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3">
    <dataValidation type="list" allowBlank="1" showInputMessage="1" showErrorMessage="1" sqref="C8" xr:uid="{C36260D7-BCF6-4459-9FD5-8F0257ED111A}">
      <formula1>$R$3:$R$5</formula1>
    </dataValidation>
    <dataValidation type="list" allowBlank="1" showInputMessage="1" showErrorMessage="1" sqref="C11" xr:uid="{A553FB59-C172-4F77-B90B-7CA0C8662DE7}">
      <formula1>$R$9:$R$10</formula1>
    </dataValidation>
    <dataValidation type="list" allowBlank="1" showInputMessage="1" showErrorMessage="1" sqref="C5" xr:uid="{17F6DD36-E207-4529-A0B8-DD8CEAC88C7A}">
      <formula1>$R$45:$R$49</formula1>
    </dataValidation>
  </dataValidations>
  <hyperlinks>
    <hyperlink ref="Z63" r:id="rId1" xr:uid="{764E4D0E-966C-453F-962E-320440E66F43}"/>
  </hyperlinks>
  <pageMargins left="0.7" right="0.7" top="0.75" bottom="0.75" header="0.3" footer="0.3"/>
  <pageSetup scale="47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B6FA2792B45240A3E28424294C90DF" ma:contentTypeVersion="11" ma:contentTypeDescription="Create a new document." ma:contentTypeScope="" ma:versionID="029e91a93016b17890f54e45dc7c2a57">
  <xsd:schema xmlns:xsd="http://www.w3.org/2001/XMLSchema" xmlns:xs="http://www.w3.org/2001/XMLSchema" xmlns:p="http://schemas.microsoft.com/office/2006/metadata/properties" xmlns:ns3="ec9050dd-6b22-499c-9ba4-8ec9e9c303f8" xmlns:ns4="3e500d4f-c0c9-48f4-8453-80942f7cd417" targetNamespace="http://schemas.microsoft.com/office/2006/metadata/properties" ma:root="true" ma:fieldsID="8f8fb6bc4ed7a0149957022aedfde2fb" ns3:_="" ns4:_="">
    <xsd:import namespace="ec9050dd-6b22-499c-9ba4-8ec9e9c303f8"/>
    <xsd:import namespace="3e500d4f-c0c9-48f4-8453-80942f7cd4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050dd-6b22-499c-9ba4-8ec9e9c303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00d4f-c0c9-48f4-8453-80942f7cd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734DCD-DDC6-4811-A18C-DB71998153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446046-FB70-4781-8D7A-8A3A5A404011}">
  <ds:schemaRefs>
    <ds:schemaRef ds:uri="http://schemas.microsoft.com/office/2006/documentManagement/types"/>
    <ds:schemaRef ds:uri="http://schemas.microsoft.com/office/infopath/2007/PartnerControls"/>
    <ds:schemaRef ds:uri="ec9050dd-6b22-499c-9ba4-8ec9e9c303f8"/>
    <ds:schemaRef ds:uri="http://purl.org/dc/elements/1.1/"/>
    <ds:schemaRef ds:uri="http://schemas.microsoft.com/office/2006/metadata/properties"/>
    <ds:schemaRef ds:uri="3e500d4f-c0c9-48f4-8453-80942f7cd417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DF2FBB-E7A8-44A0-8784-D851A261B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9050dd-6b22-499c-9ba4-8ec9e9c303f8"/>
    <ds:schemaRef ds:uri="3e500d4f-c0c9-48f4-8453-80942f7cd4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Comparison</vt:lpstr>
      <vt:lpstr>'Cost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Robertson</dc:creator>
  <cp:lastModifiedBy>Lauren Douglas</cp:lastModifiedBy>
  <cp:lastPrinted>2020-03-13T16:36:27Z</cp:lastPrinted>
  <dcterms:created xsi:type="dcterms:W3CDTF">2020-01-27T18:17:16Z</dcterms:created>
  <dcterms:modified xsi:type="dcterms:W3CDTF">2020-03-13T16:38:08Z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0x010100B9B6FA2792B45240A3E28424294C90DF</vt:lpwstr>
  </property>
</Properties>
</file>